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910" yWindow="15" windowWidth="13230" windowHeight="1209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H48" i="1"/>
  <c r="H6"/>
  <c r="H41"/>
  <c r="H22"/>
  <c r="H18"/>
  <c r="L18"/>
  <c r="L22"/>
  <c r="L48"/>
  <c r="L47"/>
  <c r="L46"/>
  <c r="L45"/>
  <c r="L44"/>
  <c r="L41"/>
  <c r="L6"/>
  <c r="L9"/>
  <c r="L40"/>
  <c r="L39"/>
  <c r="L38"/>
  <c r="L37"/>
  <c r="L35"/>
  <c r="L33"/>
  <c r="L34"/>
  <c r="L31"/>
  <c r="L30"/>
  <c r="L29"/>
  <c r="L28"/>
  <c r="H19"/>
  <c r="F48" l="1"/>
  <c r="F47"/>
  <c r="F46"/>
  <c r="F45"/>
  <c r="F44"/>
  <c r="F41"/>
  <c r="F40"/>
  <c r="F39"/>
  <c r="F38"/>
  <c r="F37"/>
  <c r="F36"/>
  <c r="F35"/>
  <c r="F34"/>
  <c r="F33"/>
  <c r="F32"/>
  <c r="F31"/>
  <c r="F30"/>
  <c r="F29"/>
  <c r="F28"/>
  <c r="F21"/>
  <c r="F20"/>
  <c r="F19"/>
  <c r="F18"/>
  <c r="F25"/>
  <c r="F24"/>
  <c r="F23"/>
  <c r="F22"/>
  <c r="F8"/>
  <c r="F9"/>
  <c r="F7"/>
  <c r="F15"/>
  <c r="F14"/>
  <c r="F13"/>
  <c r="F12"/>
  <c r="N44" l="1"/>
  <c r="H44"/>
  <c r="J44" s="1"/>
  <c r="N41"/>
  <c r="N40"/>
  <c r="N36"/>
  <c r="N48"/>
  <c r="J36"/>
  <c r="J48"/>
  <c r="J41"/>
  <c r="H38"/>
  <c r="J38" s="1"/>
  <c r="N31"/>
  <c r="N38"/>
  <c r="N29"/>
  <c r="N28"/>
  <c r="N35"/>
  <c r="N33"/>
  <c r="N30"/>
  <c r="N34"/>
  <c r="N47"/>
  <c r="N46"/>
  <c r="N45"/>
  <c r="L32"/>
  <c r="N32" s="1"/>
  <c r="H47"/>
  <c r="J47" s="1"/>
  <c r="H46"/>
  <c r="J46" s="1"/>
  <c r="H45"/>
  <c r="J45" s="1"/>
  <c r="N39"/>
  <c r="N37"/>
  <c r="N25"/>
  <c r="N24"/>
  <c r="N23"/>
  <c r="N9"/>
  <c r="N8"/>
  <c r="N7"/>
  <c r="N22"/>
  <c r="L21"/>
  <c r="N21" s="1"/>
  <c r="L20"/>
  <c r="N20" s="1"/>
  <c r="L19"/>
  <c r="N19" s="1"/>
  <c r="N18"/>
  <c r="N15"/>
  <c r="N14"/>
  <c r="N13"/>
  <c r="N12"/>
  <c r="H40"/>
  <c r="J40" s="1"/>
  <c r="H37"/>
  <c r="J37" s="1"/>
  <c r="H39"/>
  <c r="J39" s="1"/>
  <c r="H35"/>
  <c r="J35" s="1"/>
  <c r="H32"/>
  <c r="J32" s="1"/>
  <c r="H34"/>
  <c r="J34" s="1"/>
  <c r="H33"/>
  <c r="J33" s="1"/>
  <c r="H31"/>
  <c r="J31" s="1"/>
  <c r="H30"/>
  <c r="J30" s="1"/>
  <c r="H29"/>
  <c r="H28"/>
  <c r="J28" s="1"/>
  <c r="H21"/>
  <c r="H20"/>
  <c r="J20" s="1"/>
  <c r="J19"/>
  <c r="J15"/>
  <c r="J14"/>
  <c r="J13"/>
  <c r="J12"/>
  <c r="J9"/>
  <c r="J8"/>
  <c r="J7"/>
  <c r="J21"/>
  <c r="J18"/>
  <c r="J24"/>
  <c r="J25"/>
  <c r="J23"/>
  <c r="J22"/>
  <c r="J29" l="1"/>
</calcChain>
</file>

<file path=xl/sharedStrings.xml><?xml version="1.0" encoding="utf-8"?>
<sst xmlns="http://schemas.openxmlformats.org/spreadsheetml/2006/main" count="104" uniqueCount="54">
  <si>
    <t>Jurisdiction</t>
  </si>
  <si>
    <t>Federal</t>
  </si>
  <si>
    <t>Region</t>
  </si>
  <si>
    <t>Coast</t>
  </si>
  <si>
    <t>Northern Interior</t>
  </si>
  <si>
    <t>Southern Interior</t>
  </si>
  <si>
    <t>Provincial</t>
  </si>
  <si>
    <t xml:space="preserve"> </t>
  </si>
  <si>
    <t>AL</t>
  </si>
  <si>
    <t>BA</t>
  </si>
  <si>
    <t>CO</t>
  </si>
  <si>
    <t>FI</t>
  </si>
  <si>
    <t>HE</t>
  </si>
  <si>
    <t>LA</t>
  </si>
  <si>
    <t>LO</t>
  </si>
  <si>
    <t>SP</t>
  </si>
  <si>
    <t>YE</t>
  </si>
  <si>
    <t>Douglas Fir</t>
  </si>
  <si>
    <t>Hemlock</t>
  </si>
  <si>
    <t>Balsam</t>
  </si>
  <si>
    <t>Spruce</t>
  </si>
  <si>
    <t>Alder</t>
  </si>
  <si>
    <t>Lodgepole Pine</t>
  </si>
  <si>
    <t>Yellow Pine</t>
  </si>
  <si>
    <t>Cottonwood</t>
  </si>
  <si>
    <t>Larch</t>
  </si>
  <si>
    <t>Japan</t>
  </si>
  <si>
    <t>MA</t>
  </si>
  <si>
    <t>Maple</t>
  </si>
  <si>
    <t>WH</t>
  </si>
  <si>
    <t>White Pine</t>
  </si>
  <si>
    <t>Log Export Permit Volume</t>
  </si>
  <si>
    <t>Harvest Volume</t>
  </si>
  <si>
    <t>Log Export Permit Volume by Jurisdiction and Region</t>
  </si>
  <si>
    <t>Log Export Permit Volume by Species</t>
  </si>
  <si>
    <t>Other &amp; Unidentified</t>
  </si>
  <si>
    <t>CE</t>
  </si>
  <si>
    <t>CY</t>
  </si>
  <si>
    <t>Log Export Permit Volume by Market</t>
  </si>
  <si>
    <t>Prepared: April 2013</t>
  </si>
  <si>
    <r>
      <t>Permit Volume (m</t>
    </r>
    <r>
      <rPr>
        <b/>
        <vertAlign val="superscript"/>
        <sz val="12"/>
        <color theme="1"/>
        <rFont val="Calibri"/>
        <family val="2"/>
        <scheme val="minor"/>
      </rPr>
      <t>3</t>
    </r>
    <r>
      <rPr>
        <b/>
        <sz val="12"/>
        <color theme="1"/>
        <rFont val="Calibri"/>
        <family val="2"/>
        <scheme val="minor"/>
      </rPr>
      <t>)</t>
    </r>
  </si>
  <si>
    <t>% of Total</t>
  </si>
  <si>
    <r>
      <t>Harvest Volume (m</t>
    </r>
    <r>
      <rPr>
        <b/>
        <vertAlign val="superscript"/>
        <sz val="12"/>
        <color theme="1"/>
        <rFont val="Calibri"/>
        <family val="2"/>
        <scheme val="minor"/>
      </rPr>
      <t>3</t>
    </r>
    <r>
      <rPr>
        <b/>
        <sz val="12"/>
        <color theme="1"/>
        <rFont val="Calibri"/>
        <family val="2"/>
        <scheme val="minor"/>
      </rPr>
      <t>)</t>
    </r>
  </si>
  <si>
    <t>Permit as % of Harvest</t>
  </si>
  <si>
    <t>Province</t>
  </si>
  <si>
    <t>Total</t>
  </si>
  <si>
    <t>China (incl. Hong Kong)</t>
  </si>
  <si>
    <t>South Korea</t>
  </si>
  <si>
    <t>United States</t>
  </si>
  <si>
    <r>
      <rPr>
        <b/>
        <sz val="12"/>
        <color theme="1"/>
        <rFont val="Calibri"/>
        <family val="2"/>
        <scheme val="minor"/>
      </rPr>
      <t>NOTE:</t>
    </r>
    <r>
      <rPr>
        <sz val="12"/>
        <color theme="1"/>
        <rFont val="Calibri"/>
        <family val="2"/>
        <scheme val="minor"/>
      </rPr>
      <t xml:space="preserve">  Actual export volume may be less than permit volume.</t>
    </r>
  </si>
  <si>
    <t>Cedar*</t>
  </si>
  <si>
    <t>Yellow Cedar*</t>
  </si>
  <si>
    <t>*Federal jurisdiction only</t>
  </si>
  <si>
    <t>British Columbia Log Export Permit Report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</si>
</sst>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0.0%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color indexed="8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4" tint="-0.249977111117893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  <xf numFmtId="0" fontId="18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20" fillId="0" borderId="0" xfId="0" applyFont="1"/>
    <xf numFmtId="0" fontId="21" fillId="0" borderId="0" xfId="0" applyFont="1"/>
    <xf numFmtId="164" fontId="21" fillId="0" borderId="0" xfId="0" applyNumberFormat="1" applyFont="1"/>
    <xf numFmtId="0" fontId="21" fillId="0" borderId="0" xfId="0" applyFont="1" applyFill="1"/>
    <xf numFmtId="164" fontId="21" fillId="0" borderId="0" xfId="0" applyNumberFormat="1" applyFont="1" applyFill="1"/>
    <xf numFmtId="165" fontId="21" fillId="0" borderId="0" xfId="42" applyNumberFormat="1" applyFont="1"/>
    <xf numFmtId="165" fontId="22" fillId="0" borderId="0" xfId="42" applyNumberFormat="1" applyFont="1" applyFill="1"/>
    <xf numFmtId="0" fontId="23" fillId="0" borderId="0" xfId="44" applyFont="1" applyFill="1" applyBorder="1" applyAlignment="1">
      <alignment wrapText="1"/>
    </xf>
    <xf numFmtId="165" fontId="23" fillId="0" borderId="0" xfId="42" applyNumberFormat="1" applyFont="1" applyFill="1" applyBorder="1" applyAlignment="1">
      <alignment horizontal="right" wrapText="1"/>
    </xf>
    <xf numFmtId="0" fontId="20" fillId="0" borderId="0" xfId="0" applyFont="1" applyFill="1"/>
    <xf numFmtId="0" fontId="19" fillId="0" borderId="0" xfId="0" applyFont="1" applyAlignment="1">
      <alignment horizontal="center"/>
    </xf>
    <xf numFmtId="0" fontId="21" fillId="0" borderId="19" xfId="0" applyFont="1" applyFill="1" applyBorder="1"/>
    <xf numFmtId="165" fontId="21" fillId="0" borderId="19" xfId="42" applyNumberFormat="1" applyFont="1" applyFill="1" applyBorder="1"/>
    <xf numFmtId="0" fontId="20" fillId="0" borderId="0" xfId="0" applyFont="1" applyFill="1" applyBorder="1"/>
    <xf numFmtId="0" fontId="19" fillId="0" borderId="0" xfId="0" applyFont="1" applyAlignment="1"/>
    <xf numFmtId="17" fontId="20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21" fillId="0" borderId="10" xfId="0" applyFont="1" applyFill="1" applyBorder="1"/>
    <xf numFmtId="0" fontId="21" fillId="0" borderId="11" xfId="0" applyFont="1" applyFill="1" applyBorder="1"/>
    <xf numFmtId="166" fontId="21" fillId="0" borderId="16" xfId="45" applyNumberFormat="1" applyFont="1" applyFill="1" applyBorder="1"/>
    <xf numFmtId="0" fontId="23" fillId="0" borderId="11" xfId="43" applyFont="1" applyFill="1" applyBorder="1" applyAlignment="1">
      <alignment wrapText="1"/>
    </xf>
    <xf numFmtId="0" fontId="23" fillId="0" borderId="10" xfId="43" applyFont="1" applyFill="1" applyBorder="1" applyAlignment="1">
      <alignment horizontal="center" wrapText="1"/>
    </xf>
    <xf numFmtId="165" fontId="23" fillId="0" borderId="10" xfId="42" applyNumberFormat="1" applyFont="1" applyFill="1" applyBorder="1" applyAlignment="1">
      <alignment horizontal="right"/>
    </xf>
    <xf numFmtId="165" fontId="23" fillId="0" borderId="10" xfId="42" applyNumberFormat="1" applyFont="1" applyFill="1" applyBorder="1" applyAlignment="1"/>
    <xf numFmtId="166" fontId="21" fillId="34" borderId="16" xfId="45" applyNumberFormat="1" applyFont="1" applyFill="1" applyBorder="1"/>
    <xf numFmtId="0" fontId="21" fillId="34" borderId="10" xfId="0" applyFont="1" applyFill="1" applyBorder="1"/>
    <xf numFmtId="0" fontId="21" fillId="34" borderId="11" xfId="0" applyFont="1" applyFill="1" applyBorder="1"/>
    <xf numFmtId="9" fontId="21" fillId="34" borderId="16" xfId="45" applyFont="1" applyFill="1" applyBorder="1"/>
    <xf numFmtId="166" fontId="21" fillId="34" borderId="15" xfId="45" applyNumberFormat="1" applyFont="1" applyFill="1" applyBorder="1"/>
    <xf numFmtId="0" fontId="21" fillId="0" borderId="0" xfId="0" applyFont="1" applyFill="1" applyBorder="1"/>
    <xf numFmtId="0" fontId="21" fillId="0" borderId="10" xfId="0" applyFont="1" applyFill="1" applyBorder="1" applyAlignment="1">
      <alignment horizontal="center"/>
    </xf>
    <xf numFmtId="0" fontId="23" fillId="0" borderId="11" xfId="44" applyFont="1" applyFill="1" applyBorder="1" applyAlignment="1">
      <alignment wrapText="1"/>
    </xf>
    <xf numFmtId="0" fontId="19" fillId="0" borderId="0" xfId="0" applyFont="1" applyFill="1" applyAlignment="1">
      <alignment horizontal="center"/>
    </xf>
    <xf numFmtId="165" fontId="21" fillId="0" borderId="0" xfId="42" applyNumberFormat="1" applyFont="1" applyFill="1"/>
    <xf numFmtId="0" fontId="20" fillId="33" borderId="12" xfId="0" applyFont="1" applyFill="1" applyBorder="1"/>
    <xf numFmtId="0" fontId="19" fillId="0" borderId="0" xfId="0" applyFont="1" applyFill="1"/>
    <xf numFmtId="0" fontId="20" fillId="33" borderId="21" xfId="0" applyFont="1" applyFill="1" applyBorder="1"/>
    <xf numFmtId="0" fontId="20" fillId="33" borderId="22" xfId="0" applyFont="1" applyFill="1" applyBorder="1" applyAlignment="1">
      <alignment horizontal="center"/>
    </xf>
    <xf numFmtId="0" fontId="25" fillId="0" borderId="0" xfId="0" applyFont="1" applyFill="1"/>
    <xf numFmtId="166" fontId="26" fillId="0" borderId="0" xfId="45" applyNumberFormat="1" applyFont="1" applyFill="1" applyBorder="1" applyAlignment="1">
      <alignment horizontal="center"/>
    </xf>
    <xf numFmtId="165" fontId="26" fillId="0" borderId="0" xfId="42" applyNumberFormat="1" applyFont="1" applyFill="1" applyBorder="1" applyAlignment="1">
      <alignment horizontal="center"/>
    </xf>
    <xf numFmtId="165" fontId="26" fillId="0" borderId="0" xfId="42" applyNumberFormat="1" applyFont="1" applyFill="1" applyBorder="1" applyAlignment="1">
      <alignment horizontal="left" vertical="center"/>
    </xf>
    <xf numFmtId="165" fontId="21" fillId="34" borderId="11" xfId="42" applyNumberFormat="1" applyFont="1" applyFill="1" applyBorder="1"/>
    <xf numFmtId="165" fontId="21" fillId="0" borderId="11" xfId="42" applyNumberFormat="1" applyFont="1" applyFill="1" applyBorder="1"/>
    <xf numFmtId="165" fontId="21" fillId="34" borderId="10" xfId="42" applyNumberFormat="1" applyFont="1" applyFill="1" applyBorder="1"/>
    <xf numFmtId="165" fontId="21" fillId="0" borderId="10" xfId="42" applyNumberFormat="1" applyFont="1" applyFill="1" applyBorder="1"/>
    <xf numFmtId="165" fontId="23" fillId="0" borderId="0" xfId="42" applyNumberFormat="1" applyFont="1" applyFill="1" applyBorder="1" applyAlignment="1"/>
    <xf numFmtId="165" fontId="21" fillId="34" borderId="20" xfId="42" applyNumberFormat="1" applyFont="1" applyFill="1" applyBorder="1"/>
    <xf numFmtId="165" fontId="21" fillId="34" borderId="18" xfId="42" applyNumberFormat="1" applyFont="1" applyFill="1" applyBorder="1"/>
    <xf numFmtId="0" fontId="29" fillId="0" borderId="0" xfId="0" applyFont="1"/>
    <xf numFmtId="0" fontId="23" fillId="0" borderId="14" xfId="43" applyFont="1" applyFill="1" applyBorder="1" applyAlignment="1">
      <alignment vertical="top" wrapText="1"/>
    </xf>
    <xf numFmtId="165" fontId="23" fillId="0" borderId="13" xfId="42" applyNumberFormat="1" applyFont="1" applyFill="1" applyBorder="1" applyAlignment="1">
      <alignment horizontal="right" vertical="top"/>
    </xf>
    <xf numFmtId="166" fontId="21" fillId="0" borderId="17" xfId="45" applyNumberFormat="1" applyFont="1" applyFill="1" applyBorder="1" applyAlignment="1">
      <alignment vertical="top"/>
    </xf>
    <xf numFmtId="0" fontId="21" fillId="0" borderId="0" xfId="0" applyFont="1" applyFill="1" applyAlignment="1">
      <alignment vertical="top"/>
    </xf>
    <xf numFmtId="165" fontId="23" fillId="0" borderId="13" xfId="42" applyNumberFormat="1" applyFont="1" applyFill="1" applyBorder="1" applyAlignment="1">
      <alignment vertical="top"/>
    </xf>
    <xf numFmtId="165" fontId="23" fillId="0" borderId="19" xfId="42" applyNumberFormat="1" applyFont="1" applyFill="1" applyBorder="1" applyAlignment="1">
      <alignment vertical="top"/>
    </xf>
    <xf numFmtId="0" fontId="21" fillId="0" borderId="14" xfId="0" applyFont="1" applyFill="1" applyBorder="1" applyAlignment="1">
      <alignment vertical="top"/>
    </xf>
    <xf numFmtId="165" fontId="21" fillId="0" borderId="13" xfId="42" applyNumberFormat="1" applyFont="1" applyFill="1" applyBorder="1" applyAlignment="1">
      <alignment vertical="top"/>
    </xf>
    <xf numFmtId="165" fontId="21" fillId="0" borderId="14" xfId="42" applyNumberFormat="1" applyFont="1" applyFill="1" applyBorder="1" applyAlignment="1">
      <alignment horizontal="center" vertical="top"/>
    </xf>
    <xf numFmtId="0" fontId="29" fillId="0" borderId="13" xfId="0" applyFont="1" applyFill="1" applyBorder="1" applyAlignment="1"/>
    <xf numFmtId="0" fontId="30" fillId="0" borderId="13" xfId="43" applyFont="1" applyFill="1" applyBorder="1" applyAlignment="1">
      <alignment horizontal="left" wrapText="1"/>
    </xf>
    <xf numFmtId="165" fontId="23" fillId="0" borderId="10" xfId="42" applyNumberFormat="1" applyFont="1" applyFill="1" applyBorder="1" applyAlignment="1">
      <alignment horizontal="right" wrapText="1"/>
    </xf>
    <xf numFmtId="0" fontId="21" fillId="0" borderId="13" xfId="0" applyFont="1" applyFill="1" applyBorder="1" applyAlignment="1">
      <alignment horizontal="center" vertical="top"/>
    </xf>
    <xf numFmtId="165" fontId="23" fillId="0" borderId="13" xfId="42" applyNumberFormat="1" applyFont="1" applyFill="1" applyBorder="1" applyAlignment="1">
      <alignment horizontal="right" vertical="top" wrapText="1"/>
    </xf>
    <xf numFmtId="0" fontId="21" fillId="0" borderId="13" xfId="0" applyFont="1" applyFill="1" applyBorder="1" applyAlignment="1">
      <alignment vertical="top"/>
    </xf>
    <xf numFmtId="165" fontId="21" fillId="0" borderId="14" xfId="42" applyNumberFormat="1" applyFont="1" applyFill="1" applyBorder="1" applyAlignment="1">
      <alignment vertical="top"/>
    </xf>
    <xf numFmtId="165" fontId="26" fillId="0" borderId="23" xfId="42" applyNumberFormat="1" applyFont="1" applyFill="1" applyBorder="1" applyAlignment="1">
      <alignment horizontal="center"/>
    </xf>
    <xf numFmtId="165" fontId="21" fillId="0" borderId="11" xfId="42" applyNumberFormat="1" applyFont="1" applyFill="1" applyBorder="1" applyAlignment="1">
      <alignment horizontal="center" vertical="top"/>
    </xf>
    <xf numFmtId="0" fontId="21" fillId="33" borderId="21" xfId="0" applyFont="1" applyFill="1" applyBorder="1"/>
    <xf numFmtId="165" fontId="26" fillId="0" borderId="25" xfId="42" applyNumberFormat="1" applyFont="1" applyFill="1" applyBorder="1" applyAlignment="1">
      <alignment horizontal="center"/>
    </xf>
    <xf numFmtId="164" fontId="26" fillId="0" borderId="26" xfId="0" applyNumberFormat="1" applyFont="1" applyFill="1" applyBorder="1" applyAlignment="1">
      <alignment horizontal="center"/>
    </xf>
    <xf numFmtId="166" fontId="26" fillId="0" borderId="26" xfId="45" applyNumberFormat="1" applyFont="1" applyFill="1" applyBorder="1" applyAlignment="1">
      <alignment horizontal="center"/>
    </xf>
    <xf numFmtId="166" fontId="26" fillId="0" borderId="25" xfId="45" applyNumberFormat="1" applyFont="1" applyFill="1" applyBorder="1" applyAlignment="1">
      <alignment horizontal="center"/>
    </xf>
    <xf numFmtId="164" fontId="31" fillId="0" borderId="26" xfId="0" applyNumberFormat="1" applyFont="1" applyFill="1" applyBorder="1" applyAlignment="1">
      <alignment horizontal="center"/>
    </xf>
    <xf numFmtId="0" fontId="20" fillId="33" borderId="12" xfId="0" applyFont="1" applyFill="1" applyBorder="1" applyAlignment="1">
      <alignment horizontal="center"/>
    </xf>
    <xf numFmtId="0" fontId="20" fillId="33" borderId="21" xfId="0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24" fillId="33" borderId="12" xfId="43" applyFont="1" applyFill="1" applyBorder="1" applyAlignment="1">
      <alignment horizontal="left"/>
    </xf>
    <xf numFmtId="0" fontId="24" fillId="33" borderId="21" xfId="43" applyFont="1" applyFill="1" applyBorder="1" applyAlignment="1">
      <alignment horizontal="left"/>
    </xf>
    <xf numFmtId="165" fontId="21" fillId="0" borderId="0" xfId="0" applyNumberFormat="1" applyFont="1" applyFill="1"/>
    <xf numFmtId="1" fontId="32" fillId="35" borderId="12" xfId="0" applyNumberFormat="1" applyFont="1" applyFill="1" applyBorder="1" applyAlignment="1">
      <alignment horizontal="center" vertical="center"/>
    </xf>
    <xf numFmtId="1" fontId="32" fillId="35" borderId="24" xfId="0" applyNumberFormat="1" applyFont="1" applyFill="1" applyBorder="1" applyAlignment="1">
      <alignment horizontal="center" vertical="center"/>
    </xf>
    <xf numFmtId="1" fontId="32" fillId="35" borderId="21" xfId="0" applyNumberFormat="1" applyFont="1" applyFill="1" applyBorder="1" applyAlignment="1">
      <alignment horizontal="center" vertical="center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Quarterly Report" xfId="44"/>
    <cellStyle name="Normal_Sheet2" xfId="43"/>
    <cellStyle name="Note" xfId="15" builtinId="10" customBuiltin="1"/>
    <cellStyle name="Output" xfId="10" builtinId="21" customBuiltin="1"/>
    <cellStyle name="Percent" xfId="45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C5D9F1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0"/>
  <sheetViews>
    <sheetView tabSelected="1" zoomScaleNormal="100" workbookViewId="0">
      <selection sqref="A1:N1"/>
    </sheetView>
  </sheetViews>
  <sheetFormatPr defaultColWidth="9.140625" defaultRowHeight="15.75"/>
  <cols>
    <col min="1" max="1" width="19.7109375" style="2" customWidth="1"/>
    <col min="2" max="2" width="32.5703125" style="2" customWidth="1"/>
    <col min="3" max="3" width="2.140625" style="4" customWidth="1"/>
    <col min="4" max="4" width="21.28515625" style="6" customWidth="1"/>
    <col min="5" max="5" width="1.140625" style="6" hidden="1" customWidth="1"/>
    <col min="6" max="6" width="22.85546875" style="3" customWidth="1"/>
    <col min="7" max="7" width="2.140625" style="4" customWidth="1"/>
    <col min="8" max="8" width="21.28515625" style="6" customWidth="1"/>
    <col min="9" max="9" width="1.28515625" style="6" hidden="1" customWidth="1"/>
    <col min="10" max="10" width="22.85546875" style="3" customWidth="1"/>
    <col min="11" max="11" width="2.140625" style="4" customWidth="1"/>
    <col min="12" max="12" width="21.28515625" style="6" customWidth="1"/>
    <col min="13" max="13" width="1.28515625" style="6" hidden="1" customWidth="1"/>
    <col min="14" max="14" width="22.85546875" style="3" customWidth="1"/>
    <col min="15" max="15" width="9.140625" style="4"/>
    <col min="16" max="16" width="11.5703125" style="4" bestFit="1" customWidth="1"/>
    <col min="17" max="16384" width="9.140625" style="4"/>
  </cols>
  <sheetData>
    <row r="1" spans="1:14" s="36" customFormat="1" ht="28.5">
      <c r="A1" s="77" t="s">
        <v>53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</row>
    <row r="2" spans="1:14" s="36" customFormat="1" ht="23.25">
      <c r="A2" s="17"/>
      <c r="B2" s="17"/>
      <c r="C2" s="33"/>
      <c r="D2" s="17"/>
      <c r="E2" s="17"/>
      <c r="F2" s="16"/>
      <c r="G2" s="33"/>
      <c r="H2" s="17"/>
      <c r="I2" s="17"/>
      <c r="J2" s="15"/>
      <c r="K2" s="33"/>
      <c r="L2" s="11"/>
      <c r="M2" s="17"/>
      <c r="N2" s="16" t="s">
        <v>39</v>
      </c>
    </row>
    <row r="3" spans="1:14" ht="30.75" customHeight="1">
      <c r="A3" s="1"/>
      <c r="B3" s="1"/>
      <c r="D3" s="81">
        <v>2010</v>
      </c>
      <c r="E3" s="82"/>
      <c r="F3" s="83"/>
      <c r="H3" s="81">
        <v>2011</v>
      </c>
      <c r="I3" s="82"/>
      <c r="J3" s="83"/>
      <c r="L3" s="81">
        <v>2012</v>
      </c>
      <c r="M3" s="82"/>
      <c r="N3" s="83"/>
    </row>
    <row r="4" spans="1:14" ht="18" customHeight="1">
      <c r="A4" s="10"/>
      <c r="B4" s="10"/>
      <c r="D4" s="70"/>
      <c r="E4" s="41"/>
      <c r="F4" s="71"/>
      <c r="H4" s="70"/>
      <c r="I4" s="41"/>
      <c r="J4" s="71"/>
      <c r="L4" s="70"/>
      <c r="M4" s="41"/>
      <c r="N4" s="71"/>
    </row>
    <row r="5" spans="1:14" ht="18">
      <c r="A5" s="35" t="s">
        <v>31</v>
      </c>
      <c r="B5" s="37"/>
      <c r="D5" s="75" t="s">
        <v>40</v>
      </c>
      <c r="E5" s="76"/>
      <c r="F5" s="38" t="s">
        <v>41</v>
      </c>
      <c r="H5" s="75" t="s">
        <v>40</v>
      </c>
      <c r="I5" s="76"/>
      <c r="J5" s="38" t="s">
        <v>41</v>
      </c>
      <c r="L5" s="75" t="s">
        <v>40</v>
      </c>
      <c r="M5" s="76"/>
      <c r="N5" s="38" t="s">
        <v>41</v>
      </c>
    </row>
    <row r="6" spans="1:14">
      <c r="A6" s="26" t="s">
        <v>44</v>
      </c>
      <c r="B6" s="27" t="s">
        <v>45</v>
      </c>
      <c r="D6" s="45">
        <v>4506724.4000000004</v>
      </c>
      <c r="E6" s="43"/>
      <c r="F6" s="28">
        <v>1</v>
      </c>
      <c r="H6" s="45">
        <f>H7+H8+H9</f>
        <v>6801790</v>
      </c>
      <c r="I6" s="43"/>
      <c r="J6" s="28">
        <v>1</v>
      </c>
      <c r="L6" s="45">
        <f>L7+L8+L9</f>
        <v>6382933</v>
      </c>
      <c r="M6" s="43"/>
      <c r="N6" s="28">
        <v>1</v>
      </c>
    </row>
    <row r="7" spans="1:14">
      <c r="A7" s="18" t="s">
        <v>2</v>
      </c>
      <c r="B7" s="19" t="s">
        <v>3</v>
      </c>
      <c r="D7" s="46">
        <v>3866794.8999999901</v>
      </c>
      <c r="E7" s="44"/>
      <c r="F7" s="20">
        <f>D7/$D$6</f>
        <v>0.85800562821192039</v>
      </c>
      <c r="H7" s="46">
        <v>5826338</v>
      </c>
      <c r="I7" s="44"/>
      <c r="J7" s="20">
        <f>H7/$H$6</f>
        <v>0.85658892732648317</v>
      </c>
      <c r="L7" s="46">
        <v>5753212</v>
      </c>
      <c r="M7" s="44"/>
      <c r="N7" s="20">
        <f>L7/$L$6</f>
        <v>0.90134300328704686</v>
      </c>
    </row>
    <row r="8" spans="1:14">
      <c r="A8" s="18"/>
      <c r="B8" s="19" t="s">
        <v>4</v>
      </c>
      <c r="D8" s="46">
        <v>579171.799999999</v>
      </c>
      <c r="E8" s="44"/>
      <c r="F8" s="20">
        <f>D8/$D$6</f>
        <v>0.12851280633002518</v>
      </c>
      <c r="H8" s="46">
        <v>909820</v>
      </c>
      <c r="I8" s="44"/>
      <c r="J8" s="20">
        <f>H8/$H$6</f>
        <v>0.1337618479841336</v>
      </c>
      <c r="L8" s="46">
        <v>571468</v>
      </c>
      <c r="M8" s="44"/>
      <c r="N8" s="20">
        <f>L8/$L$6</f>
        <v>8.9530628004398607E-2</v>
      </c>
    </row>
    <row r="9" spans="1:14" s="54" customFormat="1" ht="21.75" customHeight="1">
      <c r="A9" s="65"/>
      <c r="B9" s="57" t="s">
        <v>5</v>
      </c>
      <c r="D9" s="58">
        <v>60757.7</v>
      </c>
      <c r="E9" s="66"/>
      <c r="F9" s="53">
        <f>D9/$D$6</f>
        <v>1.3481565458051971E-2</v>
      </c>
      <c r="H9" s="58">
        <v>65632</v>
      </c>
      <c r="I9" s="66"/>
      <c r="J9" s="53">
        <f>H9/$H$6</f>
        <v>9.6492246893832359E-3</v>
      </c>
      <c r="L9" s="58">
        <f>51734-3000+9519</f>
        <v>58253</v>
      </c>
      <c r="M9" s="66"/>
      <c r="N9" s="53">
        <f>L9/$L$6</f>
        <v>9.1263687085545164E-3</v>
      </c>
    </row>
    <row r="10" spans="1:14">
      <c r="A10" s="14"/>
      <c r="B10" s="14"/>
      <c r="C10" s="30"/>
      <c r="D10" s="73"/>
      <c r="E10" s="40"/>
      <c r="F10" s="72"/>
      <c r="G10" s="30"/>
      <c r="H10" s="73"/>
      <c r="I10" s="40"/>
      <c r="J10" s="72"/>
      <c r="K10" s="30"/>
      <c r="L10" s="73"/>
      <c r="M10" s="40"/>
      <c r="N10" s="72"/>
    </row>
    <row r="11" spans="1:14" ht="18">
      <c r="A11" s="35" t="s">
        <v>32</v>
      </c>
      <c r="B11" s="37"/>
      <c r="D11" s="75" t="s">
        <v>42</v>
      </c>
      <c r="E11" s="76"/>
      <c r="F11" s="38" t="s">
        <v>43</v>
      </c>
      <c r="H11" s="75" t="s">
        <v>42</v>
      </c>
      <c r="I11" s="76"/>
      <c r="J11" s="38" t="s">
        <v>43</v>
      </c>
      <c r="L11" s="75" t="s">
        <v>42</v>
      </c>
      <c r="M11" s="76"/>
      <c r="N11" s="38" t="s">
        <v>43</v>
      </c>
    </row>
    <row r="12" spans="1:14">
      <c r="A12" s="26" t="s">
        <v>44</v>
      </c>
      <c r="B12" s="27" t="s">
        <v>45</v>
      </c>
      <c r="D12" s="49">
        <v>61959155</v>
      </c>
      <c r="E12" s="48"/>
      <c r="F12" s="29">
        <f>D6/D12</f>
        <v>7.2737021671777161E-2</v>
      </c>
      <c r="H12" s="49">
        <v>68857164</v>
      </c>
      <c r="I12" s="48"/>
      <c r="J12" s="29">
        <f>H6/H12</f>
        <v>9.8781152241471923E-2</v>
      </c>
      <c r="L12" s="49">
        <v>68482838</v>
      </c>
      <c r="M12" s="48"/>
      <c r="N12" s="29">
        <f>L6/L12</f>
        <v>9.3204855207665319E-2</v>
      </c>
    </row>
    <row r="13" spans="1:14">
      <c r="A13" s="18" t="s">
        <v>2</v>
      </c>
      <c r="B13" s="19" t="s">
        <v>3</v>
      </c>
      <c r="D13" s="46">
        <v>16372354</v>
      </c>
      <c r="E13" s="44"/>
      <c r="F13" s="20">
        <f>D7/D13</f>
        <v>0.2361783100951757</v>
      </c>
      <c r="H13" s="46">
        <v>18844112</v>
      </c>
      <c r="I13" s="44"/>
      <c r="J13" s="20">
        <f>H7/H13</f>
        <v>0.30918612667978201</v>
      </c>
      <c r="L13" s="46">
        <v>18212293</v>
      </c>
      <c r="M13" s="44"/>
      <c r="N13" s="20">
        <f>L7/L13</f>
        <v>0.31589717999814743</v>
      </c>
    </row>
    <row r="14" spans="1:14">
      <c r="A14" s="18"/>
      <c r="B14" s="19" t="s">
        <v>4</v>
      </c>
      <c r="D14" s="46">
        <v>20843583</v>
      </c>
      <c r="E14" s="44"/>
      <c r="F14" s="20">
        <f>D8/D14</f>
        <v>2.7786575849267327E-2</v>
      </c>
      <c r="H14" s="46">
        <v>24397383</v>
      </c>
      <c r="I14" s="44"/>
      <c r="J14" s="20">
        <f>H8/H14</f>
        <v>3.7291704606186658E-2</v>
      </c>
      <c r="L14" s="46">
        <v>23121394</v>
      </c>
      <c r="M14" s="44"/>
      <c r="N14" s="20">
        <f>L8/L14</f>
        <v>2.4715983820006702E-2</v>
      </c>
    </row>
    <row r="15" spans="1:14" s="54" customFormat="1" ht="21.75" customHeight="1">
      <c r="A15" s="65"/>
      <c r="B15" s="57" t="s">
        <v>5</v>
      </c>
      <c r="D15" s="58">
        <v>24743218</v>
      </c>
      <c r="E15" s="66"/>
      <c r="F15" s="53">
        <f>D9/D15</f>
        <v>2.4555294303271304E-3</v>
      </c>
      <c r="H15" s="58">
        <v>25615669</v>
      </c>
      <c r="I15" s="66"/>
      <c r="J15" s="53">
        <f>H9/H15</f>
        <v>2.5621817646066555E-3</v>
      </c>
      <c r="L15" s="58">
        <v>27149151</v>
      </c>
      <c r="M15" s="66"/>
      <c r="N15" s="53">
        <f>L9/L15</f>
        <v>2.1456656232086225E-3</v>
      </c>
    </row>
    <row r="16" spans="1:14">
      <c r="A16" s="12"/>
      <c r="B16" s="13"/>
      <c r="D16" s="70"/>
      <c r="E16" s="41"/>
      <c r="F16" s="74"/>
      <c r="H16" s="70"/>
      <c r="I16" s="41"/>
      <c r="J16" s="71"/>
      <c r="L16" s="70"/>
      <c r="M16" s="41"/>
      <c r="N16" s="71"/>
    </row>
    <row r="17" spans="1:16" ht="18">
      <c r="A17" s="35" t="s">
        <v>33</v>
      </c>
      <c r="B17" s="37"/>
      <c r="D17" s="75" t="s">
        <v>40</v>
      </c>
      <c r="E17" s="76"/>
      <c r="F17" s="38" t="s">
        <v>41</v>
      </c>
      <c r="H17" s="75" t="s">
        <v>40</v>
      </c>
      <c r="I17" s="76"/>
      <c r="J17" s="38" t="s">
        <v>41</v>
      </c>
      <c r="L17" s="75" t="s">
        <v>40</v>
      </c>
      <c r="M17" s="76"/>
      <c r="N17" s="38" t="s">
        <v>41</v>
      </c>
    </row>
    <row r="18" spans="1:16">
      <c r="A18" s="26" t="s">
        <v>0</v>
      </c>
      <c r="B18" s="27" t="s">
        <v>6</v>
      </c>
      <c r="D18" s="45">
        <v>2483518.7999999998</v>
      </c>
      <c r="E18" s="43"/>
      <c r="F18" s="25">
        <f t="shared" ref="F18:F25" si="0">D18/$D$6</f>
        <v>0.55106959724450855</v>
      </c>
      <c r="H18" s="45">
        <f>H19+H21+H20</f>
        <v>4047356</v>
      </c>
      <c r="I18" s="43"/>
      <c r="J18" s="25">
        <f t="shared" ref="J18:J21" si="1">H18/$H$6</f>
        <v>0.59504277550468332</v>
      </c>
      <c r="L18" s="45">
        <f>L19+L21+L20</f>
        <v>4025953</v>
      </c>
      <c r="M18" s="43"/>
      <c r="N18" s="25">
        <f t="shared" ref="N18" si="2">L18/$L$6</f>
        <v>0.63073715484715254</v>
      </c>
      <c r="P18" s="80"/>
    </row>
    <row r="19" spans="1:16">
      <c r="A19" s="18" t="s">
        <v>2</v>
      </c>
      <c r="B19" s="19" t="s">
        <v>3</v>
      </c>
      <c r="D19" s="46">
        <v>1849585.79999999</v>
      </c>
      <c r="E19" s="44"/>
      <c r="F19" s="20">
        <f t="shared" si="0"/>
        <v>0.41040579273052286</v>
      </c>
      <c r="H19" s="46">
        <f>2731165+344870</f>
        <v>3076035</v>
      </c>
      <c r="I19" s="44"/>
      <c r="J19" s="20">
        <f t="shared" si="1"/>
        <v>0.45223904295780964</v>
      </c>
      <c r="L19" s="46">
        <f>209126+3196625</f>
        <v>3405751</v>
      </c>
      <c r="M19" s="44"/>
      <c r="N19" s="20">
        <f>L19/$L$6</f>
        <v>0.5335714788170266</v>
      </c>
      <c r="P19" s="80"/>
    </row>
    <row r="20" spans="1:16">
      <c r="A20" s="18"/>
      <c r="B20" s="19" t="s">
        <v>4</v>
      </c>
      <c r="D20" s="46">
        <v>579171.799999999</v>
      </c>
      <c r="E20" s="44"/>
      <c r="F20" s="20">
        <f t="shared" si="0"/>
        <v>0.12851280633002518</v>
      </c>
      <c r="H20" s="46">
        <f>63616+846204</f>
        <v>909820</v>
      </c>
      <c r="I20" s="44"/>
      <c r="J20" s="20">
        <f t="shared" si="1"/>
        <v>0.1337618479841336</v>
      </c>
      <c r="L20" s="46">
        <f>53777+517691</f>
        <v>571468</v>
      </c>
      <c r="M20" s="44"/>
      <c r="N20" s="20">
        <f t="shared" ref="N20:N21" si="3">L20/$L$6</f>
        <v>8.9530628004398607E-2</v>
      </c>
      <c r="P20" s="80"/>
    </row>
    <row r="21" spans="1:16">
      <c r="A21" s="18"/>
      <c r="B21" s="19" t="s">
        <v>5</v>
      </c>
      <c r="D21" s="46">
        <v>54761.2</v>
      </c>
      <c r="E21" s="44"/>
      <c r="F21" s="20">
        <f t="shared" si="0"/>
        <v>1.2150998183958175E-2</v>
      </c>
      <c r="H21" s="46">
        <f>58+61443</f>
        <v>61501</v>
      </c>
      <c r="I21" s="44"/>
      <c r="J21" s="20">
        <f t="shared" si="1"/>
        <v>9.0418845627401028E-3</v>
      </c>
      <c r="L21" s="46">
        <f>3320+45414</f>
        <v>48734</v>
      </c>
      <c r="M21" s="44"/>
      <c r="N21" s="20">
        <f t="shared" si="3"/>
        <v>7.6350480257273579E-3</v>
      </c>
      <c r="P21" s="80"/>
    </row>
    <row r="22" spans="1:16">
      <c r="A22" s="26" t="s">
        <v>0</v>
      </c>
      <c r="B22" s="27" t="s">
        <v>1</v>
      </c>
      <c r="D22" s="45">
        <v>2023205.6</v>
      </c>
      <c r="E22" s="43"/>
      <c r="F22" s="25">
        <f t="shared" si="0"/>
        <v>0.44893040275549129</v>
      </c>
      <c r="H22" s="45">
        <f>H23+H25+H24</f>
        <v>2754434</v>
      </c>
      <c r="I22" s="43"/>
      <c r="J22" s="25">
        <f>H22/$H$6</f>
        <v>0.40495722449531668</v>
      </c>
      <c r="L22" s="45">
        <f>L23+L25+L24</f>
        <v>2356980</v>
      </c>
      <c r="M22" s="43"/>
      <c r="N22" s="25">
        <f>L22/$L$6</f>
        <v>0.36926284515284746</v>
      </c>
    </row>
    <row r="23" spans="1:16">
      <c r="A23" s="18" t="s">
        <v>2</v>
      </c>
      <c r="B23" s="19" t="s">
        <v>3</v>
      </c>
      <c r="D23" s="46">
        <v>2017209.1</v>
      </c>
      <c r="E23" s="44"/>
      <c r="F23" s="20">
        <f t="shared" si="0"/>
        <v>0.44759983548139753</v>
      </c>
      <c r="H23" s="46">
        <v>2750303</v>
      </c>
      <c r="I23" s="44"/>
      <c r="J23" s="20">
        <f>H23/$H$6</f>
        <v>0.40434988436867353</v>
      </c>
      <c r="L23" s="46">
        <v>2347461</v>
      </c>
      <c r="M23" s="44"/>
      <c r="N23" s="20">
        <f>L23/$L$6</f>
        <v>0.36777152447002026</v>
      </c>
    </row>
    <row r="24" spans="1:16">
      <c r="A24" s="18"/>
      <c r="B24" s="19" t="s">
        <v>4</v>
      </c>
      <c r="D24" s="46">
        <v>0</v>
      </c>
      <c r="E24" s="44"/>
      <c r="F24" s="20">
        <f t="shared" si="0"/>
        <v>0</v>
      </c>
      <c r="H24" s="46"/>
      <c r="I24" s="68"/>
      <c r="J24" s="20">
        <f>H24/$H$6</f>
        <v>0</v>
      </c>
      <c r="L24" s="46">
        <v>0</v>
      </c>
      <c r="M24" s="44"/>
      <c r="N24" s="20">
        <f t="shared" ref="N24" si="4">L24/$L$6</f>
        <v>0</v>
      </c>
    </row>
    <row r="25" spans="1:16" s="54" customFormat="1" ht="21.75" customHeight="1">
      <c r="A25" s="60"/>
      <c r="B25" s="57" t="s">
        <v>5</v>
      </c>
      <c r="D25" s="58">
        <v>5996.5</v>
      </c>
      <c r="E25" s="59"/>
      <c r="F25" s="53">
        <f t="shared" si="0"/>
        <v>1.3305672740937962E-3</v>
      </c>
      <c r="H25" s="58">
        <v>4131</v>
      </c>
      <c r="I25" s="59"/>
      <c r="J25" s="53">
        <f>H25/$H$6</f>
        <v>6.0734012664313364E-4</v>
      </c>
      <c r="L25" s="58">
        <v>9519</v>
      </c>
      <c r="M25" s="59"/>
      <c r="N25" s="53">
        <f>L25/$L$6</f>
        <v>1.4913206828271581E-3</v>
      </c>
    </row>
    <row r="26" spans="1:16">
      <c r="A26" s="39"/>
      <c r="B26" s="4"/>
      <c r="C26" s="7"/>
      <c r="D26" s="70"/>
      <c r="E26" s="42"/>
      <c r="F26" s="71"/>
      <c r="G26" s="7"/>
      <c r="H26" s="70"/>
      <c r="I26" s="42"/>
      <c r="J26" s="71"/>
      <c r="K26" s="7"/>
      <c r="L26" s="70"/>
      <c r="M26" s="42"/>
      <c r="N26" s="71"/>
    </row>
    <row r="27" spans="1:16" s="10" customFormat="1" ht="18">
      <c r="A27" s="78" t="s">
        <v>34</v>
      </c>
      <c r="B27" s="79"/>
      <c r="D27" s="75" t="s">
        <v>40</v>
      </c>
      <c r="E27" s="76"/>
      <c r="F27" s="38" t="s">
        <v>41</v>
      </c>
      <c r="H27" s="75" t="s">
        <v>40</v>
      </c>
      <c r="I27" s="76"/>
      <c r="J27" s="38" t="s">
        <v>41</v>
      </c>
      <c r="L27" s="75" t="s">
        <v>40</v>
      </c>
      <c r="M27" s="76"/>
      <c r="N27" s="38" t="s">
        <v>41</v>
      </c>
    </row>
    <row r="28" spans="1:16">
      <c r="A28" s="22" t="s">
        <v>11</v>
      </c>
      <c r="B28" s="21" t="s">
        <v>17</v>
      </c>
      <c r="C28" s="30"/>
      <c r="D28" s="24">
        <v>2239915.6007223399</v>
      </c>
      <c r="E28" s="47"/>
      <c r="F28" s="20">
        <f t="shared" ref="F28:F41" si="5">D28/$D$6</f>
        <v>0.49701632536534512</v>
      </c>
      <c r="G28" s="30"/>
      <c r="H28" s="24">
        <f>1079773.4+1953184.4</f>
        <v>3032957.8</v>
      </c>
      <c r="I28" s="47"/>
      <c r="J28" s="20">
        <f>H28/$H$6</f>
        <v>0.44590582773064147</v>
      </c>
      <c r="K28" s="30"/>
      <c r="L28" s="24">
        <f>1597580+1281737.12</f>
        <v>2879317.12</v>
      </c>
      <c r="M28" s="47"/>
      <c r="N28" s="20">
        <f>L28/$L$6</f>
        <v>0.45109624681944804</v>
      </c>
    </row>
    <row r="29" spans="1:16">
      <c r="A29" s="22" t="s">
        <v>12</v>
      </c>
      <c r="B29" s="21" t="s">
        <v>18</v>
      </c>
      <c r="D29" s="24">
        <v>1482457.49966814</v>
      </c>
      <c r="E29" s="47"/>
      <c r="F29" s="20">
        <f t="shared" si="5"/>
        <v>0.3289434560649282</v>
      </c>
      <c r="H29" s="24">
        <f>1886207.25+532757.7</f>
        <v>2418964.9500000002</v>
      </c>
      <c r="I29" s="47"/>
      <c r="J29" s="20">
        <f t="shared" ref="J29:J40" si="6">H29/$H$6</f>
        <v>0.35563652362098802</v>
      </c>
      <c r="L29" s="24">
        <f>487063+1822902.96</f>
        <v>2309965.96</v>
      </c>
      <c r="M29" s="47"/>
      <c r="N29" s="20">
        <f t="shared" ref="N29:N40" si="7">L29/$L$6</f>
        <v>0.36189725945736856</v>
      </c>
    </row>
    <row r="30" spans="1:16">
      <c r="A30" s="22" t="s">
        <v>9</v>
      </c>
      <c r="B30" s="21" t="s">
        <v>19</v>
      </c>
      <c r="D30" s="23">
        <v>470824.89930139482</v>
      </c>
      <c r="E30" s="47"/>
      <c r="F30" s="20">
        <f t="shared" si="5"/>
        <v>0.10447164226447812</v>
      </c>
      <c r="H30" s="24">
        <f>490940.33+95089.5</f>
        <v>586029.83000000007</v>
      </c>
      <c r="I30" s="47"/>
      <c r="J30" s="20">
        <f t="shared" si="6"/>
        <v>8.6158177479751671E-2</v>
      </c>
      <c r="L30" s="24">
        <f>119923+453897.72</f>
        <v>573820.72</v>
      </c>
      <c r="M30" s="47"/>
      <c r="N30" s="20">
        <f t="shared" si="7"/>
        <v>8.989922344477061E-2</v>
      </c>
    </row>
    <row r="31" spans="1:16">
      <c r="A31" s="22" t="s">
        <v>15</v>
      </c>
      <c r="B31" s="21" t="s">
        <v>20</v>
      </c>
      <c r="D31" s="23">
        <v>139779.10001709312</v>
      </c>
      <c r="E31" s="47"/>
      <c r="F31" s="20">
        <f t="shared" si="5"/>
        <v>3.1015675158013459E-2</v>
      </c>
      <c r="H31" s="24">
        <f>293070.4+20681.5</f>
        <v>313751.90000000002</v>
      </c>
      <c r="I31" s="47"/>
      <c r="J31" s="20">
        <f t="shared" si="6"/>
        <v>4.612784281784648E-2</v>
      </c>
      <c r="L31" s="24">
        <f>11674+221820.15</f>
        <v>233494.15</v>
      </c>
      <c r="M31" s="47"/>
      <c r="N31" s="20">
        <f t="shared" si="7"/>
        <v>3.6581012208650787E-2</v>
      </c>
    </row>
    <row r="32" spans="1:16">
      <c r="A32" s="22" t="s">
        <v>14</v>
      </c>
      <c r="B32" s="21" t="s">
        <v>22</v>
      </c>
      <c r="D32" s="23">
        <v>10800.000113219023</v>
      </c>
      <c r="E32" s="47"/>
      <c r="F32" s="20">
        <f t="shared" si="5"/>
        <v>2.3964190295770074E-3</v>
      </c>
      <c r="H32" s="24">
        <f>123040.9+943.8</f>
        <v>123984.7</v>
      </c>
      <c r="I32" s="47"/>
      <c r="J32" s="20">
        <f>H32/$H$6</f>
        <v>1.8228245800002645E-2</v>
      </c>
      <c r="L32" s="24">
        <f>85140.35</f>
        <v>85140.35</v>
      </c>
      <c r="M32" s="47"/>
      <c r="N32" s="20">
        <f>L32/$L$6</f>
        <v>1.333875038324858E-2</v>
      </c>
    </row>
    <row r="33" spans="1:14">
      <c r="A33" s="22" t="s">
        <v>36</v>
      </c>
      <c r="B33" s="21" t="s">
        <v>50</v>
      </c>
      <c r="D33" s="23">
        <v>64974.899898998439</v>
      </c>
      <c r="E33" s="47"/>
      <c r="F33" s="20">
        <f t="shared" si="5"/>
        <v>1.4417322678750543E-2</v>
      </c>
      <c r="H33" s="24">
        <f>92812.4+223.9</f>
        <v>93036.299999999988</v>
      </c>
      <c r="I33" s="47"/>
      <c r="J33" s="20">
        <f t="shared" si="6"/>
        <v>1.367820823636131E-2</v>
      </c>
      <c r="L33" s="24">
        <f>86832+29.6</f>
        <v>86861.6</v>
      </c>
      <c r="M33" s="47"/>
      <c r="N33" s="20">
        <f t="shared" si="7"/>
        <v>1.3608414814944791E-2</v>
      </c>
    </row>
    <row r="34" spans="1:14">
      <c r="A34" s="22" t="s">
        <v>8</v>
      </c>
      <c r="B34" s="21" t="s">
        <v>21</v>
      </c>
      <c r="D34" s="23">
        <v>42318.500018022954</v>
      </c>
      <c r="E34" s="47"/>
      <c r="F34" s="20">
        <f t="shared" si="5"/>
        <v>9.3900794151119942E-3</v>
      </c>
      <c r="H34" s="24">
        <f>38257.9+30030.1</f>
        <v>68288</v>
      </c>
      <c r="I34" s="47"/>
      <c r="J34" s="20">
        <f t="shared" si="6"/>
        <v>1.0039710135126195E-2</v>
      </c>
      <c r="L34" s="24">
        <f>22891+35261.2</f>
        <v>58152.2</v>
      </c>
      <c r="M34" s="47"/>
      <c r="N34" s="20">
        <f t="shared" si="7"/>
        <v>9.1105765954303444E-3</v>
      </c>
    </row>
    <row r="35" spans="1:14">
      <c r="A35" s="22" t="s">
        <v>37</v>
      </c>
      <c r="B35" s="21" t="s">
        <v>51</v>
      </c>
      <c r="D35" s="23">
        <v>28106.09997625649</v>
      </c>
      <c r="E35" s="47"/>
      <c r="F35" s="20">
        <f t="shared" si="5"/>
        <v>6.2364807522413595E-3</v>
      </c>
      <c r="H35" s="24">
        <f>233.1+24166.4</f>
        <v>24399.5</v>
      </c>
      <c r="I35" s="47"/>
      <c r="J35" s="20">
        <f t="shared" si="6"/>
        <v>3.5872174824568238E-3</v>
      </c>
      <c r="L35" s="24">
        <f>28.7+22200</f>
        <v>22228.7</v>
      </c>
      <c r="M35" s="47"/>
      <c r="N35" s="20">
        <f t="shared" si="7"/>
        <v>3.4825212797941012E-3</v>
      </c>
    </row>
    <row r="36" spans="1:14">
      <c r="A36" s="22" t="s">
        <v>16</v>
      </c>
      <c r="B36" s="21" t="s">
        <v>23</v>
      </c>
      <c r="D36" s="23">
        <v>9111.1000168323517</v>
      </c>
      <c r="E36" s="47"/>
      <c r="F36" s="20">
        <f t="shared" si="5"/>
        <v>2.0216678918356648E-3</v>
      </c>
      <c r="H36" s="24">
        <v>22256.2</v>
      </c>
      <c r="I36" s="47"/>
      <c r="J36" s="20">
        <f t="shared" si="6"/>
        <v>3.2721092535935394E-3</v>
      </c>
      <c r="L36" s="24">
        <v>13733</v>
      </c>
      <c r="M36" s="47"/>
      <c r="N36" s="20">
        <f t="shared" si="7"/>
        <v>2.1515187453792794E-3</v>
      </c>
    </row>
    <row r="37" spans="1:14">
      <c r="A37" s="22" t="s">
        <v>29</v>
      </c>
      <c r="B37" s="21" t="s">
        <v>30</v>
      </c>
      <c r="C37" s="4" t="s">
        <v>7</v>
      </c>
      <c r="D37" s="24">
        <v>93.3</v>
      </c>
      <c r="E37" s="47"/>
      <c r="F37" s="20">
        <f t="shared" si="5"/>
        <v>2.0702397510706442E-5</v>
      </c>
      <c r="G37" s="4" t="s">
        <v>7</v>
      </c>
      <c r="H37" s="24">
        <f>143.6+9318.5</f>
        <v>9462.1</v>
      </c>
      <c r="I37" s="47"/>
      <c r="J37" s="20">
        <f t="shared" si="6"/>
        <v>1.3911191024715552E-3</v>
      </c>
      <c r="K37" s="4" t="s">
        <v>7</v>
      </c>
      <c r="L37" s="24">
        <f>271.48+24</f>
        <v>295.48</v>
      </c>
      <c r="M37" s="47"/>
      <c r="N37" s="20">
        <f t="shared" si="7"/>
        <v>4.6292198273113636E-5</v>
      </c>
    </row>
    <row r="38" spans="1:14">
      <c r="A38" s="22" t="s">
        <v>27</v>
      </c>
      <c r="B38" s="21" t="s">
        <v>28</v>
      </c>
      <c r="D38" s="24">
        <v>1983.5</v>
      </c>
      <c r="E38" s="47"/>
      <c r="F38" s="20">
        <f t="shared" si="5"/>
        <v>4.401201014200025E-4</v>
      </c>
      <c r="H38" s="24">
        <f>2372.9+3564.7</f>
        <v>5937.6</v>
      </c>
      <c r="I38" s="47"/>
      <c r="J38" s="20">
        <f t="shared" si="6"/>
        <v>8.7294668021212067E-4</v>
      </c>
      <c r="L38" s="24">
        <f>3748+1817.9</f>
        <v>5565.9</v>
      </c>
      <c r="M38" s="47"/>
      <c r="N38" s="20">
        <f t="shared" si="7"/>
        <v>8.7199724640694173E-4</v>
      </c>
    </row>
    <row r="39" spans="1:14">
      <c r="A39" s="22" t="s">
        <v>10</v>
      </c>
      <c r="B39" s="21" t="s">
        <v>24</v>
      </c>
      <c r="D39" s="23">
        <v>8622.8001207113266</v>
      </c>
      <c r="E39" s="47"/>
      <c r="F39" s="20">
        <f t="shared" si="5"/>
        <v>1.913318711193284E-3</v>
      </c>
      <c r="H39" s="24">
        <f>464.1+3742.8</f>
        <v>4206.9000000000005</v>
      </c>
      <c r="I39" s="47"/>
      <c r="J39" s="20">
        <f t="shared" si="6"/>
        <v>6.1849895395182746E-4</v>
      </c>
      <c r="L39" s="24">
        <f>11823.4+824</f>
        <v>12647.4</v>
      </c>
      <c r="M39" s="47"/>
      <c r="N39" s="20">
        <f t="shared" si="7"/>
        <v>1.9814401937165876E-3</v>
      </c>
    </row>
    <row r="40" spans="1:14">
      <c r="A40" s="22" t="s">
        <v>13</v>
      </c>
      <c r="B40" s="21" t="s">
        <v>25</v>
      </c>
      <c r="D40" s="23">
        <v>7734.9000070244074</v>
      </c>
      <c r="E40" s="47"/>
      <c r="F40" s="20">
        <f t="shared" si="5"/>
        <v>1.7163019791102394E-3</v>
      </c>
      <c r="H40" s="24">
        <f>595.8+2046.7</f>
        <v>2642.5</v>
      </c>
      <c r="I40" s="47"/>
      <c r="J40" s="20">
        <f t="shared" si="6"/>
        <v>3.8850067408726231E-4</v>
      </c>
      <c r="L40" s="24">
        <f>3431.7+4222</f>
        <v>7653.7</v>
      </c>
      <c r="M40" s="47"/>
      <c r="N40" s="20">
        <f t="shared" si="7"/>
        <v>1.1990882561355414E-3</v>
      </c>
    </row>
    <row r="41" spans="1:14" ht="21.75" customHeight="1">
      <c r="A41" s="61" t="s">
        <v>52</v>
      </c>
      <c r="B41" s="51" t="s">
        <v>35</v>
      </c>
      <c r="C41" s="4" t="s">
        <v>7</v>
      </c>
      <c r="D41" s="52">
        <v>2</v>
      </c>
      <c r="E41" s="56"/>
      <c r="F41" s="53">
        <f t="shared" si="5"/>
        <v>4.4378129712125283E-7</v>
      </c>
      <c r="G41" s="54" t="s">
        <v>7</v>
      </c>
      <c r="H41" s="55">
        <f>57.8+22.3+95792</f>
        <v>95872.1</v>
      </c>
      <c r="I41" s="56"/>
      <c r="J41" s="53">
        <f>H41/$H$6</f>
        <v>1.4095127900155695E-2</v>
      </c>
      <c r="K41" s="54" t="s">
        <v>7</v>
      </c>
      <c r="L41" s="55">
        <f>97057-3000</f>
        <v>94057</v>
      </c>
      <c r="M41" s="56"/>
      <c r="N41" s="53">
        <f>L41/$L$6</f>
        <v>1.4735702223413593E-2</v>
      </c>
    </row>
    <row r="42" spans="1:14">
      <c r="A42" s="50"/>
      <c r="C42" s="34" t="s">
        <v>7</v>
      </c>
      <c r="D42" s="67"/>
      <c r="E42" s="41"/>
      <c r="F42" s="71"/>
      <c r="G42" s="34" t="s">
        <v>7</v>
      </c>
      <c r="H42" s="67"/>
      <c r="I42" s="41"/>
      <c r="J42" s="71"/>
      <c r="K42" s="34" t="s">
        <v>7</v>
      </c>
      <c r="L42" s="67"/>
      <c r="M42" s="41"/>
      <c r="N42" s="71"/>
    </row>
    <row r="43" spans="1:14" ht="18">
      <c r="A43" s="35" t="s">
        <v>38</v>
      </c>
      <c r="B43" s="69"/>
      <c r="D43" s="75" t="s">
        <v>40</v>
      </c>
      <c r="E43" s="76"/>
      <c r="F43" s="38" t="s">
        <v>41</v>
      </c>
      <c r="H43" s="75" t="s">
        <v>40</v>
      </c>
      <c r="I43" s="76"/>
      <c r="J43" s="38" t="s">
        <v>41</v>
      </c>
      <c r="L43" s="75" t="s">
        <v>40</v>
      </c>
      <c r="M43" s="76"/>
      <c r="N43" s="38" t="s">
        <v>41</v>
      </c>
    </row>
    <row r="44" spans="1:14">
      <c r="A44" s="31"/>
      <c r="B44" s="32" t="s">
        <v>46</v>
      </c>
      <c r="D44" s="62">
        <v>1410990.9003467485</v>
      </c>
      <c r="E44" s="47"/>
      <c r="F44" s="20">
        <f>D44/$D$6</f>
        <v>0.31308568599108222</v>
      </c>
      <c r="H44" s="24">
        <f>2157082.18+865575.2+208</f>
        <v>3022865.38</v>
      </c>
      <c r="I44" s="47"/>
      <c r="J44" s="20">
        <f>H44/$H$6</f>
        <v>0.44442203890446486</v>
      </c>
      <c r="L44" s="24">
        <f>2143064.8+228+769945</f>
        <v>2913237.8</v>
      </c>
      <c r="M44" s="47"/>
      <c r="N44" s="20">
        <f>L44/$L$6</f>
        <v>0.45641052475405897</v>
      </c>
    </row>
    <row r="45" spans="1:14">
      <c r="A45" s="31"/>
      <c r="B45" s="32" t="s">
        <v>26</v>
      </c>
      <c r="D45" s="62">
        <v>1725340</v>
      </c>
      <c r="E45" s="47"/>
      <c r="F45" s="20">
        <f>D45/$D$6</f>
        <v>0.38283681158759114</v>
      </c>
      <c r="H45" s="24">
        <f>748298.4+1225911.2</f>
        <v>1974209.6</v>
      </c>
      <c r="I45" s="47"/>
      <c r="J45" s="20">
        <f>H45/$H$6</f>
        <v>0.29024853751732999</v>
      </c>
      <c r="L45" s="24">
        <f>977406+677931.19</f>
        <v>1655337.19</v>
      </c>
      <c r="M45" s="47"/>
      <c r="N45" s="20">
        <f>L45/$L$6</f>
        <v>0.25933801749133195</v>
      </c>
    </row>
    <row r="46" spans="1:14">
      <c r="A46" s="31"/>
      <c r="B46" s="32" t="s">
        <v>47</v>
      </c>
      <c r="D46" s="62">
        <v>823838.69994667172</v>
      </c>
      <c r="E46" s="47"/>
      <c r="F46" s="20">
        <f>D46/$D$6</f>
        <v>0.18280210344051029</v>
      </c>
      <c r="H46" s="24">
        <f>797140.7+363345.5+56.2</f>
        <v>1160542.3999999999</v>
      </c>
      <c r="I46" s="47"/>
      <c r="J46" s="20">
        <f>H46/$H$6</f>
        <v>0.17062308598177831</v>
      </c>
      <c r="L46" s="24">
        <f>232442+717845.31</f>
        <v>950287.31</v>
      </c>
      <c r="M46" s="47"/>
      <c r="N46" s="20">
        <f>L46/$L$6</f>
        <v>0.14887941170618588</v>
      </c>
    </row>
    <row r="47" spans="1:14">
      <c r="A47" s="31"/>
      <c r="B47" s="32" t="s">
        <v>48</v>
      </c>
      <c r="D47" s="62">
        <v>529673.59997511655</v>
      </c>
      <c r="E47" s="47"/>
      <c r="F47" s="20">
        <f>D47/$D$6</f>
        <v>0.1175296186239204</v>
      </c>
      <c r="H47" s="24">
        <f>196163.2+287428.7</f>
        <v>483591.9</v>
      </c>
      <c r="I47" s="47"/>
      <c r="J47" s="20">
        <f>H47/$H$6</f>
        <v>7.1097740447735092E-2</v>
      </c>
      <c r="L47" s="24">
        <f>367347+343744.18</f>
        <v>711091.17999999993</v>
      </c>
      <c r="M47" s="47"/>
      <c r="N47" s="20">
        <f>L47/$L$6</f>
        <v>0.11140508289841049</v>
      </c>
    </row>
    <row r="48" spans="1:14" s="54" customFormat="1" ht="21.75" customHeight="1">
      <c r="A48" s="63"/>
      <c r="B48" s="51" t="s">
        <v>35</v>
      </c>
      <c r="D48" s="64">
        <v>16881</v>
      </c>
      <c r="E48" s="56"/>
      <c r="F48" s="53">
        <f>D48/$D$6</f>
        <v>3.7457360383519344E-3</v>
      </c>
      <c r="H48" s="55">
        <f>155.3+44453.3+7013.8+12.9+1244.6+74.8+11834.4+95792</f>
        <v>160581.1</v>
      </c>
      <c r="I48" s="56"/>
      <c r="J48" s="53">
        <f>H48/$H$6</f>
        <v>2.3608653016338348E-2</v>
      </c>
      <c r="L48" s="55">
        <f>9575+48210.6+1085.8+13.4+39+94056</f>
        <v>152979.79999999999</v>
      </c>
      <c r="M48" s="56"/>
      <c r="N48" s="53">
        <f>L48/$L$6</f>
        <v>2.3967007016993596E-2</v>
      </c>
    </row>
    <row r="49" spans="1:14">
      <c r="A49" s="4"/>
      <c r="B49" s="8"/>
      <c r="D49" s="9"/>
      <c r="E49" s="9"/>
      <c r="F49" s="5"/>
      <c r="H49" s="9"/>
      <c r="I49" s="9"/>
      <c r="J49" s="5"/>
      <c r="L49" s="9"/>
      <c r="M49" s="9"/>
      <c r="N49" s="5"/>
    </row>
    <row r="50" spans="1:14">
      <c r="A50" s="4" t="s">
        <v>49</v>
      </c>
      <c r="B50" s="8"/>
      <c r="D50" s="9"/>
      <c r="E50" s="9"/>
      <c r="F50" s="5"/>
      <c r="H50" s="9"/>
      <c r="I50" s="9"/>
      <c r="J50" s="5"/>
      <c r="L50" s="9"/>
      <c r="M50" s="9"/>
      <c r="N50" s="5"/>
    </row>
  </sheetData>
  <mergeCells count="20">
    <mergeCell ref="D43:E43"/>
    <mergeCell ref="H43:I43"/>
    <mergeCell ref="L43:M43"/>
    <mergeCell ref="L27:M27"/>
    <mergeCell ref="L17:M17"/>
    <mergeCell ref="L11:M11"/>
    <mergeCell ref="A1:N1"/>
    <mergeCell ref="L3:N3"/>
    <mergeCell ref="H3:J3"/>
    <mergeCell ref="A27:B27"/>
    <mergeCell ref="D3:F3"/>
    <mergeCell ref="H17:I17"/>
    <mergeCell ref="H5:I5"/>
    <mergeCell ref="H11:I11"/>
    <mergeCell ref="H27:I27"/>
    <mergeCell ref="L5:M5"/>
    <mergeCell ref="D5:E5"/>
    <mergeCell ref="D11:E11"/>
    <mergeCell ref="D17:E17"/>
    <mergeCell ref="D27:E27"/>
  </mergeCells>
  <printOptions horizontalCentered="1"/>
  <pageMargins left="0.31496062992125984" right="0.31496062992125984" top="0.35433070866141736" bottom="0.35433070866141736" header="0.11811023622047245" footer="0.11811023622047245"/>
  <pageSetup scale="65" orientation="landscape" r:id="rId1"/>
  <headerFooter>
    <oddFooter>&amp;C&amp;"-,Bold"Prepared by the Competitiveness and Innovation Branch, Ministry of Forests, Lands, and Natural Resource Operations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mboulstr</dc:creator>
  <cp:lastModifiedBy>Judith Elkins</cp:lastModifiedBy>
  <cp:lastPrinted>2013-04-05T18:14:39Z</cp:lastPrinted>
  <dcterms:created xsi:type="dcterms:W3CDTF">2011-03-25T20:38:18Z</dcterms:created>
  <dcterms:modified xsi:type="dcterms:W3CDTF">2013-04-05T18:14:49Z</dcterms:modified>
</cp:coreProperties>
</file>